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adM\Desktop\BC\Brcko\"/>
    </mc:Choice>
  </mc:AlternateContent>
  <xr:revisionPtr revIDLastSave="0" documentId="13_ncr:1_{88E0CF4F-EB1F-46CE-9674-02B74B896BCA}" xr6:coauthVersionLast="47" xr6:coauthVersionMax="47" xr10:uidLastSave="{00000000-0000-0000-0000-000000000000}"/>
  <bookViews>
    <workbookView xWindow="-108" yWindow="-108" windowWidth="23256" windowHeight="12456" xr2:uid="{AF958E97-6AB8-40FF-B143-A316EFE614FD}"/>
  </bookViews>
  <sheets>
    <sheet name="INDIKATORI" sheetId="12" r:id="rId1"/>
    <sheet name="KPI.1.Neoprihodovana.voda" sheetId="1" r:id="rId2"/>
    <sheet name="KPI.2.Postotak.mjerenja" sheetId="2" r:id="rId3"/>
    <sheet name="KPI.3.Dani.naplate" sheetId="3" r:id="rId4"/>
    <sheet name="KPI.4.Postotak.naplate" sheetId="4" r:id="rId5"/>
    <sheet name="KPI.5.Produktivnost.operatera" sheetId="5" r:id="rId6"/>
    <sheet name="KPI.6.Pokrivenost.troskova" sheetId="6" r:id="rId7"/>
    <sheet name="KPI.7.Priustivost.usluga" sheetId="7" r:id="rId8"/>
    <sheet name="ILI index" sheetId="9" r:id="rId9"/>
    <sheet name="Amortizacija" sheetId="10" r:id="rId10"/>
    <sheet name="Cijene" sheetId="11" r:id="rId1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2" l="1"/>
  <c r="D12" i="12"/>
  <c r="D11" i="12"/>
  <c r="D9" i="12"/>
  <c r="D8" i="12"/>
  <c r="D7" i="12"/>
  <c r="D6" i="12"/>
  <c r="D5" i="12"/>
  <c r="D4" i="12"/>
  <c r="D3" i="12"/>
  <c r="I9" i="11"/>
  <c r="L11" i="10"/>
  <c r="L10" i="10"/>
  <c r="J17" i="9"/>
  <c r="J12" i="9"/>
  <c r="H47" i="7"/>
  <c r="I33" i="7"/>
  <c r="I28" i="7"/>
  <c r="I27" i="7"/>
  <c r="I9" i="7"/>
  <c r="J11" i="6"/>
  <c r="D63" i="5"/>
  <c r="D62" i="5"/>
  <c r="D60" i="5"/>
  <c r="D59" i="5"/>
  <c r="D57" i="5"/>
  <c r="D56" i="5"/>
  <c r="C19" i="5"/>
  <c r="J7" i="2"/>
  <c r="J9" i="2"/>
  <c r="I9" i="4"/>
  <c r="I10" i="3"/>
  <c r="J6" i="2"/>
  <c r="I9" i="1"/>
  <c r="J3" i="9"/>
  <c r="I41" i="7" l="1"/>
  <c r="I42" i="7" s="1"/>
  <c r="I20" i="7"/>
  <c r="I19" i="7"/>
  <c r="I21" i="7" l="1"/>
  <c r="I22" i="7" s="1"/>
  <c r="I46" i="7" s="1"/>
  <c r="I44" i="7"/>
  <c r="I47" i="7" s="1"/>
  <c r="D51" i="5" l="1"/>
  <c r="D50" i="5"/>
  <c r="D49" i="5"/>
  <c r="D47" i="5"/>
  <c r="D35" i="5"/>
  <c r="C29" i="5"/>
  <c r="D45" i="5" s="1"/>
  <c r="D37" i="5" s="1"/>
  <c r="D48" i="5" s="1"/>
  <c r="D53" i="5" l="1"/>
  <c r="D52" i="5"/>
</calcChain>
</file>

<file path=xl/sharedStrings.xml><?xml version="1.0" encoding="utf-8"?>
<sst xmlns="http://schemas.openxmlformats.org/spreadsheetml/2006/main" count="217" uniqueCount="188">
  <si>
    <t xml:space="preserve">Neprihodovana voda </t>
  </si>
  <si>
    <t xml:space="preserve">Postotak mjerenja potrošača i vodozahvata </t>
  </si>
  <si>
    <t>A</t>
  </si>
  <si>
    <t>B</t>
  </si>
  <si>
    <t>Ulazni podaci su:</t>
  </si>
  <si>
    <t>% Neoprihodovane vode u VS = (B-A)/B * 100%</t>
  </si>
  <si>
    <t>( izraženo u %, preporučena dugoročna ciljna vrijednost 25% ili manje )</t>
  </si>
  <si>
    <t>Broj vodomjernih mjesta ( uključujući i zonske vodomjere )</t>
  </si>
  <si>
    <t>Ulazni podaci:</t>
  </si>
  <si>
    <t>% mjerenja potrošača i vodozahvata= B/A *100%</t>
  </si>
  <si>
    <t>( izraženo u %, preporučena dugoročna ciljna vrijednost 100% )</t>
  </si>
  <si>
    <t>Prosječan broj dana naplate</t>
  </si>
  <si>
    <t xml:space="preserve"> ( izraženo u broju dana, preporučena dugoročna ciljna vrijednost je 90 dana ili manje )</t>
  </si>
  <si>
    <t xml:space="preserve">Ukupno fakturisano za vodne usluge u zadanom periodu </t>
  </si>
  <si>
    <t>C</t>
  </si>
  <si>
    <t>Prosječan broj dana naplate=B/A *C</t>
  </si>
  <si>
    <t xml:space="preserve">Postotak naplate </t>
  </si>
  <si>
    <t>( izraženo u %, preporučena dugoročna ciljna vrijednost 96% ili više )</t>
  </si>
  <si>
    <t>Ukupna naplata za vodne usluge u zadanom periodu</t>
  </si>
  <si>
    <t xml:space="preserve">Produktivnost operatora </t>
  </si>
  <si>
    <t xml:space="preserve">broj stanovnika na vodovodnom sistemu, u '000 </t>
  </si>
  <si>
    <t>Ns (u '000)</t>
  </si>
  <si>
    <t>3-6</t>
  </si>
  <si>
    <t xml:space="preserve">  6 - 12</t>
  </si>
  <si>
    <t>12-25</t>
  </si>
  <si>
    <t>25 – 50</t>
  </si>
  <si>
    <t>50-100</t>
  </si>
  <si>
    <t>100-150</t>
  </si>
  <si>
    <t>150-200</t>
  </si>
  <si>
    <t xml:space="preserve">koeficijent produktivnosti </t>
  </si>
  <si>
    <t>Kp</t>
  </si>
  <si>
    <t>koeficijent za tretman urbanih otpadnih voda/pitke vode</t>
  </si>
  <si>
    <t>Kt i Kwp</t>
  </si>
  <si>
    <t>broj priključaka vodovodnog sistema (VS) u nadležnosti javnog operatora, u '000</t>
  </si>
  <si>
    <t>Np (u '000)</t>
  </si>
  <si>
    <t>2-4</t>
  </si>
  <si>
    <t>4 – 8</t>
  </si>
  <si>
    <t>8 – 16</t>
  </si>
  <si>
    <t>16 - 32</t>
  </si>
  <si>
    <t>32 - 50</t>
  </si>
  <si>
    <t>&gt; 50</t>
  </si>
  <si>
    <t xml:space="preserve">koeficijent složenosti sistema u odnosu na broj priključaka </t>
  </si>
  <si>
    <t>Kps</t>
  </si>
  <si>
    <t>PRORAČUN SLOŽENOSTI SISTEMA - proračunski Ks (PKs)</t>
  </si>
  <si>
    <t>K2 - broj pumpnih stanica na vodovodnom sistemu</t>
  </si>
  <si>
    <t>K3 - broj bunara i vodozahvata</t>
  </si>
  <si>
    <t xml:space="preserve">K1 broj stanovnika na VS </t>
  </si>
  <si>
    <t xml:space="preserve">PKs </t>
  </si>
  <si>
    <t xml:space="preserve">KOEFICIJENT SLOŽENOSTI SISTEMA - Ks </t>
  </si>
  <si>
    <t xml:space="preserve">Slozenost sistema </t>
  </si>
  <si>
    <t>Ks</t>
  </si>
  <si>
    <t>PKs (proracunski Ks)</t>
  </si>
  <si>
    <t>Jednostavni sistemi</t>
  </si>
  <si>
    <t>Manje složeni</t>
  </si>
  <si>
    <t>Srednje složeni</t>
  </si>
  <si>
    <t>Složeni sistemi</t>
  </si>
  <si>
    <t>&gt;=0.25</t>
  </si>
  <si>
    <t xml:space="preserve">USVOJENA VRIJEDNOST KOEFICIJENTA SLOŽENOSTI SISTEMA </t>
  </si>
  <si>
    <t>MAKSIMALAN BROJ UPOSLENIH - MBU</t>
  </si>
  <si>
    <t>vodovod</t>
  </si>
  <si>
    <t>Np</t>
  </si>
  <si>
    <t>Ns</t>
  </si>
  <si>
    <t>koeficijent složenosti sistema u odnosu na broj stanovnika Kns</t>
  </si>
  <si>
    <t>Kns</t>
  </si>
  <si>
    <t>koeficijent za prečišćavanje pitke vode</t>
  </si>
  <si>
    <t>Kwp</t>
  </si>
  <si>
    <t>broj stanovnika koji se snabdijeva sa klasičnog postrojenja za pitku vodu (u '000)</t>
  </si>
  <si>
    <t>Nwp</t>
  </si>
  <si>
    <t xml:space="preserve">koeficijent za tretman urbanih otpadnih voda prema tablici </t>
  </si>
  <si>
    <t>Kt</t>
  </si>
  <si>
    <t>izgrađeni kapacitet UPOV-a (uređaj za pročišćavanje otpadnih voda) izražen u broju ekvivalentnih stanovnika (ES), u '000</t>
  </si>
  <si>
    <t>Nupov</t>
  </si>
  <si>
    <t>broj priključaka kanalizacionog sistema u nadležnosti javnog operatora gdje ne postoji priključak vodovodnog sistema u nadležnosti javnog operatora, u '000</t>
  </si>
  <si>
    <t>Npk</t>
  </si>
  <si>
    <t>koeficijent složenosti sistema u odnosu na broj priključaka samo na javni sistem odvodnje otpadnih voda (a gdje nema priključaka vodovodnog sistema u nadležnosti javnog operatora)</t>
  </si>
  <si>
    <t>Kk</t>
  </si>
  <si>
    <t xml:space="preserve">koeficijent složenosti sistema </t>
  </si>
  <si>
    <t>Np x Kps</t>
  </si>
  <si>
    <t>Ns x Kns</t>
  </si>
  <si>
    <t>Kt x Nupv</t>
  </si>
  <si>
    <t>Kwp x Nwp</t>
  </si>
  <si>
    <t>Npk x Kk</t>
  </si>
  <si>
    <t>MBU u odnosu na broj priključaka</t>
  </si>
  <si>
    <t>MBU u odnosu na broj stanovnika</t>
  </si>
  <si>
    <t xml:space="preserve">Broj zaposlenih </t>
  </si>
  <si>
    <t>Broj zaposlenih na hiljadu priključaka</t>
  </si>
  <si>
    <t>Broj zaposlenih na hiljadu stanovnika</t>
  </si>
  <si>
    <t xml:space="preserve">&gt; 200 </t>
  </si>
  <si>
    <t>Maksimallni broj zaposlenih na hiljadu priključaka</t>
  </si>
  <si>
    <t>Maksimalni broj zaposlenih na hiljadu stanovnika</t>
  </si>
  <si>
    <t xml:space="preserve">Odnos stvarno zaposlenih naspram MBU u odnosu na broj priključaka </t>
  </si>
  <si>
    <t>Odnos stvarno zaposlenih naspram MBU u odnosu na broj stanovnika</t>
  </si>
  <si>
    <t>( broj zaposlenih na hiljadu korisnika usluga ili hiljadu priključaka, za sve vodne usluge, prema proračunu maksimalnog                                                                                                                                                                        broja zaposlenih na kraju ciljnog perioda, ovisno o veličini i složenosti infrastrukturnog sistema )</t>
  </si>
  <si>
    <t xml:space="preserve">Pokrivenost operativnih troškova </t>
  </si>
  <si>
    <t>( izraženo u %, preporučena ciljna vrijednost 100% )</t>
  </si>
  <si>
    <t>% pokrivenosti operativnih troškova = B/A *100%</t>
  </si>
  <si>
    <t>Iznos ukupnih prihoda  od vodnih usluga  za zadani period</t>
  </si>
  <si>
    <t xml:space="preserve">Iznos visine mjesečnog računa prosječne obitelji u JLS sa prosječnom potrošnjom </t>
  </si>
  <si>
    <t>Priuštivost usluga</t>
  </si>
  <si>
    <t xml:space="preserve"> ( izraženo u %, preporučena vrijednost do najviše 4% )</t>
  </si>
  <si>
    <t>% priuštivosti vodnih usluga =A/B *100%</t>
  </si>
  <si>
    <t xml:space="preserve">Iznos ukupnih prosječnih mjesečnih prihoda prosječne obitelji u JLS </t>
  </si>
  <si>
    <t>Plata</t>
  </si>
  <si>
    <t>Penzija</t>
  </si>
  <si>
    <t>UKUPNA PRIMANJA</t>
  </si>
  <si>
    <t xml:space="preserve">Broj stanovnika </t>
  </si>
  <si>
    <t>Broj domaćinstava - popis 2013.</t>
  </si>
  <si>
    <t>Prosječan broj članova domaćinstva</t>
  </si>
  <si>
    <t>Prosječna primanja po domaćinstvu</t>
  </si>
  <si>
    <t>Broj korisnika</t>
  </si>
  <si>
    <t>KM</t>
  </si>
  <si>
    <t>Cijena vode</t>
  </si>
  <si>
    <t>Cijena otpadne vode</t>
  </si>
  <si>
    <t>Naknada za zahvaćene vode</t>
  </si>
  <si>
    <t>Naknada za zaštitu voda</t>
  </si>
  <si>
    <t>PDV</t>
  </si>
  <si>
    <t>UKUPNI IZNOS MJESEČNOG RAČUNA ZA VODNE USLUGE- PROSJEK</t>
  </si>
  <si>
    <t>NAPOMENA: Preuzeti posljednji objavljeni podatci za 2021. godinu sa web stranice općine .</t>
  </si>
  <si>
    <t xml:space="preserve">Primanja po drugom osnovu </t>
  </si>
  <si>
    <t>Fiksni dio cijene - iznos po priključku domaćinstva</t>
  </si>
  <si>
    <t xml:space="preserve">Ukupo varijabilni dio cijene po m³ </t>
  </si>
  <si>
    <t>PRIUŠTIVOST</t>
  </si>
  <si>
    <t>Max. % i iznos priuštivosti vodnih usluga</t>
  </si>
  <si>
    <t>% i iznos priuštivosti vodnih usluga</t>
  </si>
  <si>
    <t>Količina vode isporučena domaćinstvima u m³</t>
  </si>
  <si>
    <t>Prosječna potrošnja vode po domaćinstvu u m³</t>
  </si>
  <si>
    <t xml:space="preserve">PRIMANJA </t>
  </si>
  <si>
    <t>Broj</t>
  </si>
  <si>
    <t>Ukupno KM</t>
  </si>
  <si>
    <t>Iznos KM</t>
  </si>
  <si>
    <t>JEDAN OD MODELA IZRAČUNA PRIUŠTIVOSTI</t>
  </si>
  <si>
    <t>ILI = CARL / UARL</t>
  </si>
  <si>
    <t>gdje je:</t>
  </si>
  <si>
    <t>UARL= (18 x Lm + 0,8 Nc + 25 x Lp) x P</t>
  </si>
  <si>
    <t>CARL = ukupna godišnja curenja u mreži u litrima/ broj priključaka u hiljadama/ 365</t>
  </si>
  <si>
    <t>UARL</t>
  </si>
  <si>
    <t xml:space="preserve">  Neizbježni godišnji stvarni gubici (najniža moguća tehnička granicu curenja vode iz cjevovoda):</t>
  </si>
  <si>
    <t>Lm</t>
  </si>
  <si>
    <t>Nc</t>
  </si>
  <si>
    <t>Lp</t>
  </si>
  <si>
    <t>P</t>
  </si>
  <si>
    <t>CARL</t>
  </si>
  <si>
    <t>Dužina cjevovoda u mreži (km),</t>
  </si>
  <si>
    <t>Ukupni broj priključaka u sistemu,</t>
  </si>
  <si>
    <t>Ukupna dužina priključnih cijevi koje prolaze kroz privatne posjede (km),</t>
  </si>
  <si>
    <t>Prosječna vrijednost pritiska u sistemu (mVs).</t>
  </si>
  <si>
    <t xml:space="preserve"> Trenutni stvarni gubici (l/dan) </t>
  </si>
  <si>
    <t>ILI – Infrastructure Leakage Index</t>
  </si>
  <si>
    <t>Iznos operativnih  troškova vodnih usluga za zadani period</t>
  </si>
  <si>
    <t>( ukupni troškovi vodnih usluga umanjeni za iznos amortizacije i troškova povrata kredita )</t>
  </si>
  <si>
    <t>( bez uključivanja prihoda od doniranih sredstava )</t>
  </si>
  <si>
    <t>Vrijednost proračunate amortizacije na sva uknjižena stalna sredstava</t>
  </si>
  <si>
    <t xml:space="preserve">Ukupna vrijednost sredstava koja su prikupljena i utrošena za svrhe redovnog zanavljanja infrastrukture </t>
  </si>
  <si>
    <t>% stvarno potrebne amortizacije obračunate u cijeni vidnih usluga=A/(A+B)</t>
  </si>
  <si>
    <t>% amortizacije prikupljen i utrošen za svrhe redovnog zanavljanja infrastrukture=C/(A+B)</t>
  </si>
  <si>
    <t>% STVARNO POTREBNE AMORTIZACIJE OBRAČUNAT, PRIKUPLJEN I UTROŠEN ZA SVRHE REDOVNOG ZANAVLJANJA INFRASTRUKTURE</t>
  </si>
  <si>
    <t>% IZJEDNAČENJA CIJENA ZA FIZIČKA I PRAVNA LICA</t>
  </si>
  <si>
    <t>% izjednačenja cijena za fizička i pravna lica/osobe = A/B *100%</t>
  </si>
  <si>
    <t>Postotak naplate=A/B*100%</t>
  </si>
  <si>
    <t>Cijena za fizičke osobe/lica</t>
  </si>
  <si>
    <t xml:space="preserve">Cijena za pravne osobe/lica </t>
  </si>
  <si>
    <t>Broj vodomjera korisnika usluga koji su kalibrirani u zakonom predviđenom roku na dan računanja indikatora</t>
  </si>
  <si>
    <t>Ukupna potraživanja za vodne usluge na kraju perioda (na dan računanja indikatora)</t>
  </si>
  <si>
    <t xml:space="preserve">Ukupno fakturisano za vodne usluge u odabranom periodu </t>
  </si>
  <si>
    <t>Broj dana u odabranom periodu</t>
  </si>
  <si>
    <t>Ukupna godišnja curenja u mreži (m3)</t>
  </si>
  <si>
    <t>K7 - dužina DN 150 i veci profili (km)</t>
  </si>
  <si>
    <r>
      <t>Ukupna količina fakturirane vode u 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scheme val="minor"/>
      </rPr>
      <t xml:space="preserve"> u odabranom periodu </t>
    </r>
  </si>
  <si>
    <t>Ukupna količina zahvaćene vode u m³ u istom periodu</t>
  </si>
  <si>
    <t>Vrijednost proračunate amortizacije na sva sredstava iz „pomoćne knjige stalnih sredstava" ( ista nisu stvarno uknjižena )</t>
  </si>
  <si>
    <t xml:space="preserve">Neoprihodovana voda </t>
  </si>
  <si>
    <t>25% i manje</t>
  </si>
  <si>
    <t>90 dana ilio manje</t>
  </si>
  <si>
    <t>96 % ili više</t>
  </si>
  <si>
    <t>Produktivnost operatera</t>
  </si>
  <si>
    <t>1.2   ( maximalno prema proračunu )</t>
  </si>
  <si>
    <t>Pokrivenost operativnih troškova</t>
  </si>
  <si>
    <t>100% ili više</t>
  </si>
  <si>
    <t xml:space="preserve">Priuštivost usluga </t>
  </si>
  <si>
    <t>do 4% ukupnog prihoda domaćinstva</t>
  </si>
  <si>
    <t>ILI index</t>
  </si>
  <si>
    <t>do 4</t>
  </si>
  <si>
    <t>% izjednačenja cijena za fizička i pravna lica</t>
  </si>
  <si>
    <t>INDIKATOR</t>
  </si>
  <si>
    <t>DUGOROČNO CILJANE VRIJEDNOSTI</t>
  </si>
  <si>
    <t xml:space="preserve">Postotak mjerenja utrošene vode kod potrošača i na vodozahvatima </t>
  </si>
  <si>
    <t xml:space="preserve">% stvarno potrebne amortizacije, prikupljen i utrošen za svrhe redovnog zanavljanja vodne infrastrukture </t>
  </si>
  <si>
    <t>OSTVARENE VRIJEDNOSTI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</si>
</sst>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color theme="1"/>
      <name val="Calibri Light"/>
      <family val="1"/>
      <charset val="238"/>
      <scheme val="major"/>
    </font>
    <font>
      <b/>
      <sz val="11"/>
      <color theme="1"/>
      <name val="Calibri Light"/>
      <family val="1"/>
      <charset val="238"/>
      <scheme val="maj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3" fontId="0" fillId="2" borderId="0" xfId="0" applyNumberFormat="1" applyFill="1"/>
    <xf numFmtId="0" fontId="0" fillId="0" borderId="2" xfId="0" applyBorder="1"/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0" xfId="0" applyAlignment="1">
      <alignment horizontal="right" wrapText="1"/>
    </xf>
    <xf numFmtId="0" fontId="2" fillId="0" borderId="10" xfId="0" applyFont="1" applyBorder="1"/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164" fontId="2" fillId="4" borderId="10" xfId="0" applyNumberFormat="1" applyFont="1" applyFill="1" applyBorder="1"/>
    <xf numFmtId="4" fontId="2" fillId="4" borderId="10" xfId="0" applyNumberFormat="1" applyFont="1" applyFill="1" applyBorder="1"/>
    <xf numFmtId="4" fontId="0" fillId="4" borderId="0" xfId="0" applyNumberFormat="1" applyFill="1"/>
    <xf numFmtId="2" fontId="0" fillId="0" borderId="0" xfId="0" applyNumberFormat="1"/>
    <xf numFmtId="0" fontId="9" fillId="0" borderId="0" xfId="0" applyFont="1"/>
    <xf numFmtId="4" fontId="9" fillId="0" borderId="0" xfId="0" applyNumberFormat="1" applyFont="1"/>
    <xf numFmtId="2" fontId="9" fillId="0" borderId="0" xfId="0" applyNumberFormat="1" applyFont="1"/>
    <xf numFmtId="3" fontId="9" fillId="0" borderId="0" xfId="0" applyNumberFormat="1" applyFont="1"/>
    <xf numFmtId="10" fontId="0" fillId="0" borderId="0" xfId="1" applyNumberFormat="1" applyFont="1"/>
    <xf numFmtId="2" fontId="9" fillId="0" borderId="0" xfId="1" applyNumberFormat="1" applyFont="1"/>
    <xf numFmtId="0" fontId="10" fillId="0" borderId="0" xfId="0" applyFont="1"/>
    <xf numFmtId="4" fontId="0" fillId="0" borderId="0" xfId="0" applyNumberFormat="1" applyAlignment="1">
      <alignment horizontal="right"/>
    </xf>
    <xf numFmtId="2" fontId="11" fillId="0" borderId="0" xfId="0" applyNumberFormat="1" applyFont="1"/>
    <xf numFmtId="4" fontId="9" fillId="0" borderId="0" xfId="0" applyNumberFormat="1" applyFont="1" applyAlignment="1">
      <alignment horizontal="right"/>
    </xf>
    <xf numFmtId="3" fontId="9" fillId="4" borderId="0" xfId="0" applyNumberFormat="1" applyFont="1" applyFill="1"/>
    <xf numFmtId="4" fontId="9" fillId="4" borderId="0" xfId="0" applyNumberFormat="1" applyFont="1" applyFill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" fontId="10" fillId="0" borderId="0" xfId="0" applyNumberFormat="1" applyFont="1"/>
    <xf numFmtId="0" fontId="2" fillId="0" borderId="0" xfId="0" applyFont="1"/>
    <xf numFmtId="10" fontId="10" fillId="0" borderId="0" xfId="1" applyNumberFormat="1" applyFont="1"/>
    <xf numFmtId="10" fontId="10" fillId="3" borderId="0" xfId="1" applyNumberFormat="1" applyFont="1" applyFill="1"/>
    <xf numFmtId="2" fontId="10" fillId="3" borderId="0" xfId="0" applyNumberFormat="1" applyFont="1" applyFill="1"/>
    <xf numFmtId="10" fontId="10" fillId="3" borderId="0" xfId="0" applyNumberFormat="1" applyFont="1" applyFill="1"/>
    <xf numFmtId="2" fontId="9" fillId="4" borderId="0" xfId="0" applyNumberFormat="1" applyFont="1" applyFill="1"/>
    <xf numFmtId="0" fontId="12" fillId="0" borderId="0" xfId="0" applyFont="1"/>
    <xf numFmtId="2" fontId="0" fillId="0" borderId="0" xfId="0" applyNumberFormat="1" applyAlignment="1">
      <alignment horizontal="center"/>
    </xf>
    <xf numFmtId="3" fontId="0" fillId="0" borderId="0" xfId="0" applyNumberFormat="1"/>
    <xf numFmtId="3" fontId="0" fillId="4" borderId="0" xfId="0" applyNumberFormat="1" applyFill="1"/>
    <xf numFmtId="4" fontId="0" fillId="2" borderId="0" xfId="0" applyNumberFormat="1" applyFill="1" applyProtection="1">
      <protection locked="0" hidden="1"/>
    </xf>
    <xf numFmtId="0" fontId="4" fillId="0" borderId="0" xfId="0" applyFont="1"/>
    <xf numFmtId="0" fontId="4" fillId="0" borderId="0" xfId="0" applyFont="1" applyAlignment="1">
      <alignment wrapText="1"/>
    </xf>
    <xf numFmtId="10" fontId="3" fillId="3" borderId="0" xfId="0" applyNumberFormat="1" applyFont="1" applyFill="1"/>
    <xf numFmtId="4" fontId="3" fillId="3" borderId="0" xfId="0" applyNumberFormat="1" applyFont="1" applyFill="1"/>
    <xf numFmtId="0" fontId="6" fillId="0" borderId="0" xfId="0" applyFont="1"/>
    <xf numFmtId="4" fontId="0" fillId="0" borderId="0" xfId="0" applyNumberFormat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4" fontId="7" fillId="4" borderId="0" xfId="0" applyNumberFormat="1" applyFont="1" applyFill="1" applyAlignment="1">
      <alignment horizontal="center"/>
    </xf>
    <xf numFmtId="4" fontId="3" fillId="4" borderId="0" xfId="0" applyNumberFormat="1" applyFont="1" applyFill="1" applyAlignment="1">
      <alignment horizontal="center"/>
    </xf>
    <xf numFmtId="4" fontId="8" fillId="4" borderId="0" xfId="0" applyNumberFormat="1" applyFont="1" applyFill="1" applyAlignment="1">
      <alignment horizontal="center"/>
    </xf>
    <xf numFmtId="2" fontId="8" fillId="4" borderId="0" xfId="0" applyNumberFormat="1" applyFont="1" applyFill="1" applyAlignment="1">
      <alignment horizontal="center"/>
    </xf>
    <xf numFmtId="10" fontId="6" fillId="0" borderId="0" xfId="0" applyNumberFormat="1" applyFont="1" applyAlignment="1">
      <alignment horizontal="center"/>
    </xf>
    <xf numFmtId="4" fontId="6" fillId="3" borderId="0" xfId="0" applyNumberFormat="1" applyFont="1" applyFill="1" applyAlignment="1">
      <alignment horizontal="center"/>
    </xf>
    <xf numFmtId="4" fontId="0" fillId="3" borderId="0" xfId="0" applyNumberFormat="1" applyFill="1" applyAlignment="1">
      <alignment horizontal="center"/>
    </xf>
    <xf numFmtId="10" fontId="8" fillId="3" borderId="0" xfId="0" applyNumberFormat="1" applyFont="1" applyFill="1" applyAlignment="1">
      <alignment horizontal="center"/>
    </xf>
    <xf numFmtId="3" fontId="0" fillId="2" borderId="0" xfId="0" applyNumberFormat="1" applyFill="1" applyProtection="1">
      <protection locked="0" hidden="1"/>
    </xf>
    <xf numFmtId="2" fontId="0" fillId="2" borderId="9" xfId="0" applyNumberFormat="1" applyFill="1" applyBorder="1" applyProtection="1">
      <protection locked="0" hidden="1"/>
    </xf>
    <xf numFmtId="0" fontId="0" fillId="2" borderId="9" xfId="0" applyFill="1" applyBorder="1" applyProtection="1">
      <protection locked="0" hidden="1"/>
    </xf>
    <xf numFmtId="3" fontId="0" fillId="2" borderId="12" xfId="0" applyNumberFormat="1" applyFill="1" applyBorder="1" applyProtection="1">
      <protection locked="0" hidden="1"/>
    </xf>
    <xf numFmtId="0" fontId="0" fillId="2" borderId="9" xfId="0" applyFill="1" applyBorder="1" applyAlignment="1" applyProtection="1">
      <alignment horizontal="center"/>
      <protection locked="0" hidden="1"/>
    </xf>
    <xf numFmtId="4" fontId="0" fillId="2" borderId="9" xfId="0" applyNumberFormat="1" applyFill="1" applyBorder="1" applyAlignment="1" applyProtection="1">
      <alignment horizontal="center"/>
      <protection locked="0" hidden="1"/>
    </xf>
    <xf numFmtId="4" fontId="6" fillId="2" borderId="0" xfId="0" applyNumberFormat="1" applyFont="1" applyFill="1" applyAlignment="1" applyProtection="1">
      <alignment horizontal="center"/>
      <protection locked="0" hidden="1"/>
    </xf>
    <xf numFmtId="3" fontId="9" fillId="2" borderId="0" xfId="0" applyNumberFormat="1" applyFont="1" applyFill="1" applyProtection="1">
      <protection locked="0" hidden="1"/>
    </xf>
    <xf numFmtId="10" fontId="9" fillId="2" borderId="0" xfId="0" applyNumberFormat="1" applyFont="1" applyFill="1" applyProtection="1">
      <protection locked="0" hidden="1"/>
    </xf>
    <xf numFmtId="4" fontId="9" fillId="2" borderId="0" xfId="0" applyNumberFormat="1" applyFont="1" applyFill="1" applyProtection="1">
      <protection locked="0" hidden="1"/>
    </xf>
    <xf numFmtId="9" fontId="0" fillId="0" borderId="0" xfId="0" applyNumberFormat="1" applyAlignment="1">
      <alignment horizontal="right"/>
    </xf>
    <xf numFmtId="3" fontId="0" fillId="3" borderId="0" xfId="0" applyNumberFormat="1" applyFill="1"/>
    <xf numFmtId="10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30ACA-D091-4459-AF6B-B7E54ADEA21F}">
  <dimension ref="A1:D13"/>
  <sheetViews>
    <sheetView tabSelected="1" workbookViewId="0">
      <selection activeCell="C19" sqref="C19"/>
    </sheetView>
  </sheetViews>
  <sheetFormatPr defaultRowHeight="14.4" x14ac:dyDescent="0.3"/>
  <cols>
    <col min="2" max="2" width="85.33203125" customWidth="1"/>
    <col min="3" max="3" width="36.88671875" style="1" customWidth="1"/>
    <col min="4" max="4" width="22" customWidth="1"/>
  </cols>
  <sheetData>
    <row r="1" spans="1:4" x14ac:dyDescent="0.3">
      <c r="B1" t="s">
        <v>183</v>
      </c>
      <c r="C1" s="1" t="s">
        <v>184</v>
      </c>
      <c r="D1" t="s">
        <v>187</v>
      </c>
    </row>
    <row r="3" spans="1:4" x14ac:dyDescent="0.3">
      <c r="A3">
        <v>1</v>
      </c>
      <c r="B3" t="s">
        <v>170</v>
      </c>
      <c r="C3" s="1" t="s">
        <v>171</v>
      </c>
      <c r="D3" s="85">
        <f>KPI.1.Neoprihodovana.voda!I9</f>
        <v>0.61047182293721358</v>
      </c>
    </row>
    <row r="4" spans="1:4" x14ac:dyDescent="0.3">
      <c r="A4">
        <v>2</v>
      </c>
      <c r="B4" t="s">
        <v>185</v>
      </c>
      <c r="C4" s="83">
        <v>1</v>
      </c>
      <c r="D4" s="85">
        <f>KPI.2.Postotak.mjerenja!J9</f>
        <v>0</v>
      </c>
    </row>
    <row r="5" spans="1:4" x14ac:dyDescent="0.3">
      <c r="A5">
        <v>3</v>
      </c>
      <c r="B5" t="s">
        <v>11</v>
      </c>
      <c r="C5" s="1" t="s">
        <v>172</v>
      </c>
      <c r="D5" s="50">
        <f>KPI.3.Dani.naplate!I10</f>
        <v>0</v>
      </c>
    </row>
    <row r="6" spans="1:4" x14ac:dyDescent="0.3">
      <c r="A6">
        <v>4</v>
      </c>
      <c r="B6" t="s">
        <v>16</v>
      </c>
      <c r="C6" s="1" t="s">
        <v>173</v>
      </c>
      <c r="D6" s="85">
        <f>KPI.4.Postotak.naplate!I9</f>
        <v>0</v>
      </c>
    </row>
    <row r="7" spans="1:4" x14ac:dyDescent="0.3">
      <c r="A7">
        <v>5</v>
      </c>
      <c r="B7" t="s">
        <v>174</v>
      </c>
      <c r="C7" s="1" t="s">
        <v>175</v>
      </c>
      <c r="D7" s="2">
        <f>KPI.5.Produktivnost.operatera!D60</f>
        <v>0</v>
      </c>
    </row>
    <row r="8" spans="1:4" x14ac:dyDescent="0.3">
      <c r="A8">
        <v>6</v>
      </c>
      <c r="B8" t="s">
        <v>176</v>
      </c>
      <c r="C8" s="1" t="s">
        <v>177</v>
      </c>
      <c r="D8" s="85">
        <f>KPI.6.Pokrivenost.troskova!J11</f>
        <v>0</v>
      </c>
    </row>
    <row r="9" spans="1:4" x14ac:dyDescent="0.3">
      <c r="A9">
        <v>7</v>
      </c>
      <c r="B9" t="s">
        <v>178</v>
      </c>
      <c r="C9" s="1" t="s">
        <v>179</v>
      </c>
      <c r="D9" s="85">
        <f>KPI.7.Priustivost.usluga!I9</f>
        <v>0</v>
      </c>
    </row>
    <row r="11" spans="1:4" x14ac:dyDescent="0.3">
      <c r="B11" t="s">
        <v>180</v>
      </c>
      <c r="C11" s="1" t="s">
        <v>181</v>
      </c>
      <c r="D11" s="2">
        <f>'ILI index'!J17</f>
        <v>0</v>
      </c>
    </row>
    <row r="12" spans="1:4" x14ac:dyDescent="0.3">
      <c r="B12" t="s">
        <v>186</v>
      </c>
      <c r="C12" s="83">
        <v>1</v>
      </c>
      <c r="D12" s="85">
        <f>Amortizacija!L11</f>
        <v>0</v>
      </c>
    </row>
    <row r="13" spans="1:4" x14ac:dyDescent="0.3">
      <c r="B13" t="s">
        <v>182</v>
      </c>
      <c r="C13" s="83">
        <v>1</v>
      </c>
      <c r="D13" s="85">
        <f>Cijene!I9</f>
        <v>0</v>
      </c>
    </row>
  </sheetData>
  <sheetProtection algorithmName="SHA-512" hashValue="ieShIp4ebHwdT7wuzjWpj81TKJKEGaHO2+pmnV9P15eZB8eZv8LYSpmgRl+d7ncwhT7ObuqCqY314KRoIpQX1A==" saltValue="8/oVcP4ys8opTM2FiMZGNg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AC0BD-8405-4D22-BD7C-0C1453853331}">
  <dimension ref="A1:Q11"/>
  <sheetViews>
    <sheetView zoomScaleNormal="100" workbookViewId="0">
      <selection activeCell="L12" sqref="L12"/>
    </sheetView>
  </sheetViews>
  <sheetFormatPr defaultColWidth="8.6640625" defaultRowHeight="14.4" x14ac:dyDescent="0.3"/>
  <cols>
    <col min="1" max="1" width="8.6640625" customWidth="1"/>
    <col min="6" max="6" width="17.44140625" customWidth="1"/>
    <col min="11" max="11" width="10.44140625" customWidth="1"/>
  </cols>
  <sheetData>
    <row r="1" spans="1:17" s="53" customFormat="1" ht="45" customHeight="1" x14ac:dyDescent="0.4">
      <c r="A1" s="90" t="s">
        <v>155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54"/>
      <c r="N1" s="54"/>
      <c r="O1" s="54"/>
      <c r="P1" s="54"/>
      <c r="Q1" s="54"/>
    </row>
    <row r="2" spans="1:17" ht="15.6" x14ac:dyDescent="0.3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5"/>
      <c r="N2" s="5"/>
      <c r="O2" s="5"/>
      <c r="P2" s="5"/>
      <c r="Q2" s="5"/>
    </row>
    <row r="3" spans="1:17" ht="15.6" x14ac:dyDescent="0.3">
      <c r="A3" s="4"/>
      <c r="B3" s="5" t="s">
        <v>8</v>
      </c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  <c r="Q3" s="5"/>
    </row>
    <row r="4" spans="1:17" ht="15.6" x14ac:dyDescent="0.3">
      <c r="A4" s="4"/>
      <c r="B4" s="4"/>
      <c r="C4" s="4"/>
      <c r="D4" s="4"/>
      <c r="E4" s="4"/>
      <c r="F4" s="4"/>
      <c r="G4" s="4"/>
      <c r="H4" s="4"/>
      <c r="I4" s="4"/>
    </row>
    <row r="5" spans="1:17" ht="15.6" x14ac:dyDescent="0.3">
      <c r="A5" s="1" t="s">
        <v>2</v>
      </c>
      <c r="B5" t="s">
        <v>151</v>
      </c>
      <c r="C5" s="4"/>
      <c r="D5" s="4"/>
      <c r="E5" s="4"/>
      <c r="F5" s="4"/>
      <c r="G5" s="4"/>
      <c r="H5" s="4"/>
      <c r="I5" s="4"/>
      <c r="L5" s="6"/>
    </row>
    <row r="6" spans="1:17" x14ac:dyDescent="0.3">
      <c r="A6" s="1" t="s">
        <v>3</v>
      </c>
      <c r="B6" t="s">
        <v>169</v>
      </c>
      <c r="L6" s="6"/>
    </row>
    <row r="7" spans="1:17" x14ac:dyDescent="0.3">
      <c r="A7" s="1" t="s">
        <v>14</v>
      </c>
      <c r="B7" t="s">
        <v>152</v>
      </c>
      <c r="L7" s="6"/>
    </row>
    <row r="8" spans="1:17" x14ac:dyDescent="0.3">
      <c r="L8" s="50"/>
    </row>
    <row r="9" spans="1:17" x14ac:dyDescent="0.3">
      <c r="L9" s="50"/>
    </row>
    <row r="10" spans="1:17" s="3" customFormat="1" x14ac:dyDescent="0.3">
      <c r="B10" s="3" t="s">
        <v>153</v>
      </c>
      <c r="L10" s="55">
        <f>IF(L7=0, 0,L5/(L5+L6))</f>
        <v>0</v>
      </c>
    </row>
    <row r="11" spans="1:17" s="3" customFormat="1" x14ac:dyDescent="0.3">
      <c r="B11" s="3" t="s">
        <v>154</v>
      </c>
      <c r="L11" s="55">
        <f>IF(L7=0, 0,L7/(L5+L6))</f>
        <v>0</v>
      </c>
    </row>
  </sheetData>
  <sheetProtection algorithmName="SHA-512" hashValue="8X4lFIvLarhaJJZ3eYKrfbwrow1YaeNDkDbIZCDcFzrFR6lOS82DEugyNC/GbDVoBEr+AfALL0sgmLHjIRriqA==" saltValue="8GCMiPlc+us1Wxvnkm6gcA==" spinCount="100000" sheet="1" objects="1" scenarios="1"/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1F9BC-B4D5-49E5-8D9F-F27E191152EF}">
  <dimension ref="A1:I9"/>
  <sheetViews>
    <sheetView topLeftCell="A2" zoomScale="116" zoomScaleNormal="116" workbookViewId="0">
      <selection activeCell="B25" sqref="B24:B25"/>
    </sheetView>
  </sheetViews>
  <sheetFormatPr defaultColWidth="8.6640625" defaultRowHeight="14.4" x14ac:dyDescent="0.3"/>
  <sheetData>
    <row r="1" spans="1:9" ht="21" x14ac:dyDescent="0.4">
      <c r="A1" s="86" t="s">
        <v>156</v>
      </c>
      <c r="B1" s="86"/>
      <c r="C1" s="86"/>
      <c r="D1" s="86"/>
      <c r="E1" s="86"/>
      <c r="F1" s="86"/>
      <c r="G1" s="86"/>
      <c r="H1" s="86"/>
      <c r="I1" s="86"/>
    </row>
    <row r="2" spans="1:9" ht="15.6" x14ac:dyDescent="0.3">
      <c r="A2" s="87" t="s">
        <v>94</v>
      </c>
      <c r="B2" s="87"/>
      <c r="C2" s="87"/>
      <c r="D2" s="87"/>
      <c r="E2" s="87"/>
      <c r="F2" s="87"/>
      <c r="G2" s="87"/>
      <c r="H2" s="87"/>
      <c r="I2" s="87"/>
    </row>
    <row r="3" spans="1:9" ht="15.6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6" x14ac:dyDescent="0.3">
      <c r="B4" s="5" t="s">
        <v>8</v>
      </c>
    </row>
    <row r="5" spans="1:9" ht="15.6" x14ac:dyDescent="0.3">
      <c r="B5" s="5"/>
    </row>
    <row r="6" spans="1:9" x14ac:dyDescent="0.3">
      <c r="A6" s="1" t="s">
        <v>2</v>
      </c>
      <c r="B6" t="s">
        <v>159</v>
      </c>
      <c r="I6" s="52"/>
    </row>
    <row r="7" spans="1:9" x14ac:dyDescent="0.3">
      <c r="A7" s="1" t="s">
        <v>3</v>
      </c>
      <c r="B7" t="s">
        <v>160</v>
      </c>
      <c r="I7" s="52"/>
    </row>
    <row r="9" spans="1:9" s="3" customFormat="1" x14ac:dyDescent="0.3">
      <c r="B9" s="3" t="s">
        <v>157</v>
      </c>
      <c r="I9" s="55">
        <f>IF(I7=0, 0,I6/I7)</f>
        <v>0</v>
      </c>
    </row>
  </sheetData>
  <sheetProtection algorithmName="SHA-512" hashValue="P2nJM2ODjr65PEoydV2rww4ZH14lkLp/HZgWJKuCuOK59tWtZhJHsSz7A4vlJV/Je0K5Y+REuI2Wive3yE4OMQ==" saltValue="sM6BHw/napuWmrZmIEpDHg==" spinCount="100000" sheet="1" objects="1" scenarios="1"/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237B4-C2AF-41A3-8D8F-B144D83F01A5}">
  <dimension ref="A1:I11"/>
  <sheetViews>
    <sheetView zoomScale="102" zoomScaleNormal="102" workbookViewId="0">
      <selection activeCell="G15" sqref="G15"/>
    </sheetView>
  </sheetViews>
  <sheetFormatPr defaultColWidth="8.6640625" defaultRowHeight="14.4" x14ac:dyDescent="0.3"/>
  <cols>
    <col min="9" max="9" width="11.6640625" style="50" customWidth="1"/>
    <col min="11" max="11" width="8.6640625" customWidth="1"/>
  </cols>
  <sheetData>
    <row r="1" spans="1:9" ht="21" x14ac:dyDescent="0.4">
      <c r="A1" s="86" t="s">
        <v>0</v>
      </c>
      <c r="B1" s="86"/>
      <c r="C1" s="86"/>
      <c r="D1" s="86"/>
      <c r="E1" s="86"/>
      <c r="F1" s="86"/>
      <c r="G1" s="86"/>
      <c r="H1" s="86"/>
      <c r="I1" s="86"/>
    </row>
    <row r="2" spans="1:9" ht="15.6" x14ac:dyDescent="0.3">
      <c r="A2" s="87" t="s">
        <v>6</v>
      </c>
      <c r="B2" s="87"/>
      <c r="C2" s="87"/>
      <c r="D2" s="87"/>
      <c r="E2" s="87"/>
      <c r="F2" s="87"/>
      <c r="G2" s="87"/>
      <c r="H2" s="87"/>
      <c r="I2" s="87"/>
    </row>
    <row r="4" spans="1:9" ht="15.6" x14ac:dyDescent="0.3">
      <c r="B4" s="5" t="s">
        <v>8</v>
      </c>
      <c r="C4" s="5"/>
    </row>
    <row r="6" spans="1:9" x14ac:dyDescent="0.3">
      <c r="A6" s="1" t="s">
        <v>2</v>
      </c>
      <c r="B6" t="s">
        <v>167</v>
      </c>
      <c r="I6" s="73">
        <v>1612418</v>
      </c>
    </row>
    <row r="7" spans="1:9" x14ac:dyDescent="0.3">
      <c r="A7" s="1" t="s">
        <v>3</v>
      </c>
      <c r="B7" t="s">
        <v>168</v>
      </c>
      <c r="I7" s="73">
        <v>4139413</v>
      </c>
    </row>
    <row r="9" spans="1:9" s="3" customFormat="1" x14ac:dyDescent="0.3">
      <c r="B9" s="3" t="s">
        <v>5</v>
      </c>
      <c r="I9" s="55">
        <f>IF(I7=0, 0,(I7-I6)/I7)</f>
        <v>0.61047182293721358</v>
      </c>
    </row>
    <row r="11" spans="1:9" ht="15.6" x14ac:dyDescent="0.3">
      <c r="B11" s="5"/>
    </row>
  </sheetData>
  <sheetProtection algorithmName="SHA-512" hashValue="uq4aDGvQHISlE6ocWOWTVPtXBVpGetrLqYkTIeMWSs20Dn16yrQ1POg1O3zNZHIo90M1HNlJr3oDCYo4Zqo3hQ==" saltValue="UPmjo7OPJcPz0jIdopcZIA==" spinCount="100000" sheet="1" objects="1" scenarios="1"/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DBCCA-8ECC-412A-883C-32E01D94D06D}">
  <dimension ref="A1:J11"/>
  <sheetViews>
    <sheetView zoomScale="98" zoomScaleNormal="98" workbookViewId="0">
      <selection activeCell="L7" sqref="L7"/>
    </sheetView>
  </sheetViews>
  <sheetFormatPr defaultColWidth="8.6640625" defaultRowHeight="14.4" x14ac:dyDescent="0.3"/>
  <cols>
    <col min="1" max="1" width="6.44140625" customWidth="1"/>
    <col min="9" max="9" width="30.44140625" customWidth="1"/>
  </cols>
  <sheetData>
    <row r="1" spans="1:10" ht="21" x14ac:dyDescent="0.4">
      <c r="A1" s="86" t="s">
        <v>1</v>
      </c>
      <c r="B1" s="86"/>
      <c r="C1" s="86"/>
      <c r="D1" s="86"/>
      <c r="E1" s="86"/>
      <c r="F1" s="86"/>
      <c r="G1" s="86"/>
      <c r="H1" s="86"/>
      <c r="I1" s="86"/>
    </row>
    <row r="2" spans="1:10" ht="15.6" x14ac:dyDescent="0.3">
      <c r="A2" s="87" t="s">
        <v>10</v>
      </c>
      <c r="B2" s="87"/>
      <c r="C2" s="87"/>
      <c r="D2" s="87"/>
      <c r="E2" s="87"/>
      <c r="F2" s="87"/>
      <c r="G2" s="87"/>
      <c r="H2" s="87"/>
      <c r="I2" s="87"/>
    </row>
    <row r="4" spans="1:10" ht="15.6" x14ac:dyDescent="0.3">
      <c r="B4" s="5" t="s">
        <v>8</v>
      </c>
    </row>
    <row r="6" spans="1:10" x14ac:dyDescent="0.3">
      <c r="A6" s="1" t="s">
        <v>2</v>
      </c>
      <c r="B6" t="s">
        <v>7</v>
      </c>
      <c r="J6" s="73">
        <f>24139</f>
        <v>24139</v>
      </c>
    </row>
    <row r="7" spans="1:10" x14ac:dyDescent="0.3">
      <c r="A7" s="1" t="s">
        <v>3</v>
      </c>
      <c r="B7" t="s">
        <v>161</v>
      </c>
      <c r="J7" s="73">
        <f>183+357+537+769</f>
        <v>1846</v>
      </c>
    </row>
    <row r="9" spans="1:10" s="3" customFormat="1" x14ac:dyDescent="0.3">
      <c r="B9" s="3" t="s">
        <v>9</v>
      </c>
      <c r="J9" s="55">
        <f>IF(I7=0,0,J7/J6)</f>
        <v>0</v>
      </c>
    </row>
    <row r="11" spans="1:10" ht="15.6" x14ac:dyDescent="0.3">
      <c r="B11" s="5"/>
    </row>
  </sheetData>
  <sheetProtection algorithmName="SHA-512" hashValue="lex5NzMve7ec9oukXXzjfVBZJse84lt5OLzWaKaQnJP2W/IiUfoYLxfIwmDPTH0B2ZNZng+6h5I25HhCQ/O1og==" saltValue="+/UP/vd9W/hJPS2kYqkk5Q==" spinCount="100000" sheet="1" objects="1" scenarios="1"/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362A1-D738-4BBC-A7A5-A874F244747E}">
  <dimension ref="A1:I12"/>
  <sheetViews>
    <sheetView zoomScale="119" zoomScaleNormal="119" workbookViewId="0">
      <selection activeCell="L13" sqref="L12:L13"/>
    </sheetView>
  </sheetViews>
  <sheetFormatPr defaultColWidth="8.6640625" defaultRowHeight="14.4" x14ac:dyDescent="0.3"/>
  <cols>
    <col min="2" max="2" width="10.109375" customWidth="1"/>
    <col min="8" max="8" width="19.88671875" customWidth="1"/>
    <col min="9" max="9" width="10.109375" customWidth="1"/>
  </cols>
  <sheetData>
    <row r="1" spans="1:9" ht="21" x14ac:dyDescent="0.4">
      <c r="A1" s="86" t="s">
        <v>11</v>
      </c>
      <c r="B1" s="86"/>
      <c r="C1" s="86"/>
      <c r="D1" s="86"/>
      <c r="E1" s="86"/>
      <c r="F1" s="86"/>
      <c r="G1" s="86"/>
      <c r="H1" s="86"/>
      <c r="I1" s="86"/>
    </row>
    <row r="2" spans="1:9" ht="15.6" x14ac:dyDescent="0.3">
      <c r="A2" s="87" t="s">
        <v>12</v>
      </c>
      <c r="B2" s="87"/>
      <c r="C2" s="87"/>
      <c r="D2" s="87"/>
      <c r="E2" s="87"/>
      <c r="F2" s="87"/>
      <c r="G2" s="87"/>
      <c r="H2" s="87"/>
      <c r="I2" s="87"/>
    </row>
    <row r="4" spans="1:9" ht="15.6" x14ac:dyDescent="0.3">
      <c r="B4" s="5" t="s">
        <v>4</v>
      </c>
    </row>
    <row r="6" spans="1:9" x14ac:dyDescent="0.3">
      <c r="A6" s="1" t="s">
        <v>2</v>
      </c>
      <c r="B6" t="s">
        <v>162</v>
      </c>
      <c r="I6" s="73"/>
    </row>
    <row r="7" spans="1:9" x14ac:dyDescent="0.3">
      <c r="A7" s="1" t="s">
        <v>3</v>
      </c>
      <c r="B7" t="s">
        <v>163</v>
      </c>
      <c r="I7" s="73"/>
    </row>
    <row r="8" spans="1:9" x14ac:dyDescent="0.3">
      <c r="A8" s="1" t="s">
        <v>14</v>
      </c>
      <c r="B8" t="s">
        <v>164</v>
      </c>
      <c r="I8" s="73">
        <v>365</v>
      </c>
    </row>
    <row r="9" spans="1:9" x14ac:dyDescent="0.3">
      <c r="A9" s="1"/>
      <c r="I9" s="50"/>
    </row>
    <row r="10" spans="1:9" s="3" customFormat="1" x14ac:dyDescent="0.3">
      <c r="B10" s="3" t="s">
        <v>15</v>
      </c>
      <c r="I10" s="84">
        <f>IF(I7=0, 0,I6/I7*I8)</f>
        <v>0</v>
      </c>
    </row>
    <row r="12" spans="1:9" ht="15.6" x14ac:dyDescent="0.3">
      <c r="B12" s="5"/>
    </row>
  </sheetData>
  <sheetProtection algorithmName="SHA-512" hashValue="9KajBUZW9zwlWhlclxvZkP8PVSYH70KdSbXRaI0oegh9WuxVj6ozVz9ndXear4AIxb4PMpc/5OElR1A5B+nvHA==" saltValue="t8je4TzS6KMrYbTHMUQMFQ==" spinCount="100000" sheet="1" objects="1" scenarios="1"/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F9531-83D5-44AE-BA90-8147E4EEB263}">
  <dimension ref="A1:I11"/>
  <sheetViews>
    <sheetView zoomScaleNormal="100" workbookViewId="0">
      <selection activeCell="M12" sqref="M12"/>
    </sheetView>
  </sheetViews>
  <sheetFormatPr defaultColWidth="8.6640625" defaultRowHeight="14.4" x14ac:dyDescent="0.3"/>
  <cols>
    <col min="9" max="9" width="11.5546875" customWidth="1"/>
  </cols>
  <sheetData>
    <row r="1" spans="1:9" ht="21" x14ac:dyDescent="0.4">
      <c r="A1" s="86" t="s">
        <v>16</v>
      </c>
      <c r="B1" s="86"/>
      <c r="C1" s="86"/>
      <c r="D1" s="86"/>
      <c r="E1" s="86"/>
      <c r="F1" s="86"/>
      <c r="G1" s="86"/>
      <c r="H1" s="86"/>
      <c r="I1" s="86"/>
    </row>
    <row r="2" spans="1:9" ht="15.6" x14ac:dyDescent="0.3">
      <c r="A2" s="87" t="s">
        <v>17</v>
      </c>
      <c r="B2" s="87"/>
      <c r="C2" s="87"/>
      <c r="D2" s="87"/>
      <c r="E2" s="87"/>
      <c r="F2" s="87"/>
      <c r="G2" s="87"/>
      <c r="H2" s="87"/>
      <c r="I2" s="87"/>
    </row>
    <row r="4" spans="1:9" ht="15.6" x14ac:dyDescent="0.3">
      <c r="B4" s="5" t="s">
        <v>4</v>
      </c>
    </row>
    <row r="6" spans="1:9" x14ac:dyDescent="0.3">
      <c r="A6" s="1" t="s">
        <v>2</v>
      </c>
      <c r="B6" t="s">
        <v>18</v>
      </c>
      <c r="I6" s="73"/>
    </row>
    <row r="7" spans="1:9" x14ac:dyDescent="0.3">
      <c r="A7" s="1" t="s">
        <v>3</v>
      </c>
      <c r="B7" t="s">
        <v>13</v>
      </c>
      <c r="I7" s="73"/>
    </row>
    <row r="8" spans="1:9" x14ac:dyDescent="0.3">
      <c r="A8" s="1"/>
    </row>
    <row r="9" spans="1:9" s="3" customFormat="1" x14ac:dyDescent="0.3">
      <c r="B9" s="3" t="s">
        <v>158</v>
      </c>
      <c r="I9" s="55">
        <f>IF(I7=0,0,I6/I7)</f>
        <v>0</v>
      </c>
    </row>
    <row r="11" spans="1:9" ht="15.6" x14ac:dyDescent="0.3">
      <c r="B11" s="5"/>
    </row>
  </sheetData>
  <sheetProtection algorithmName="SHA-512" hashValue="gr0VAm7PzUEgnb80pJQ0emsXTTIDYZ80DecjmdnD5gqZ94wUHxqLC8AaN98sQUMBb0w8PbcWIk8ioh8f+8nYkg==" saltValue="Ubui1AdXTl4zy4zT5YK0eQ==" spinCount="100000" sheet="1" objects="1" scenarios="1"/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6B031-75EA-4401-859E-9F29E0112DA6}">
  <dimension ref="A1:K63"/>
  <sheetViews>
    <sheetView topLeftCell="A52" workbookViewId="0">
      <selection activeCell="D64" sqref="D64"/>
    </sheetView>
  </sheetViews>
  <sheetFormatPr defaultColWidth="8.6640625" defaultRowHeight="14.4" x14ac:dyDescent="0.3"/>
  <cols>
    <col min="1" max="1" width="2.44140625" customWidth="1"/>
    <col min="2" max="2" width="79" customWidth="1"/>
    <col min="3" max="3" width="14.6640625" customWidth="1"/>
    <col min="4" max="4" width="21.33203125" customWidth="1"/>
    <col min="5" max="5" width="20.6640625" customWidth="1"/>
    <col min="6" max="6" width="15.33203125" customWidth="1"/>
    <col min="7" max="7" width="16" customWidth="1"/>
  </cols>
  <sheetData>
    <row r="1" spans="1:11" ht="21" x14ac:dyDescent="0.4">
      <c r="A1" s="86" t="s">
        <v>19</v>
      </c>
      <c r="B1" s="86"/>
      <c r="C1" s="86"/>
      <c r="D1" s="86"/>
      <c r="E1" s="86"/>
      <c r="F1" s="86"/>
      <c r="G1" s="86"/>
      <c r="H1" s="86"/>
      <c r="I1" s="86"/>
    </row>
    <row r="2" spans="1:11" ht="30" customHeight="1" x14ac:dyDescent="0.3">
      <c r="A2" s="88" t="s">
        <v>92</v>
      </c>
      <c r="B2" s="88"/>
      <c r="C2" s="88"/>
      <c r="D2" s="88"/>
      <c r="E2" s="88"/>
      <c r="F2" s="88"/>
      <c r="G2" s="88"/>
      <c r="H2" s="88"/>
      <c r="I2" s="88"/>
    </row>
    <row r="3" spans="1:11" ht="15" thickBot="1" x14ac:dyDescent="0.35"/>
    <row r="4" spans="1:11" ht="25.5" customHeight="1" x14ac:dyDescent="0.3">
      <c r="B4" s="17" t="s">
        <v>20</v>
      </c>
      <c r="C4" s="7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8" t="s">
        <v>28</v>
      </c>
      <c r="K4" s="9" t="s">
        <v>87</v>
      </c>
    </row>
    <row r="5" spans="1:11" x14ac:dyDescent="0.3">
      <c r="B5" s="1" t="s">
        <v>29</v>
      </c>
      <c r="C5" s="11" t="s">
        <v>30</v>
      </c>
      <c r="D5" s="58">
        <v>1.35</v>
      </c>
      <c r="E5" s="58">
        <v>1.3</v>
      </c>
      <c r="F5" s="58">
        <v>1.25</v>
      </c>
      <c r="G5" s="58">
        <v>1.2</v>
      </c>
      <c r="H5" s="58">
        <v>1.1499999999999999</v>
      </c>
      <c r="I5" s="58">
        <v>1.1000000000000001</v>
      </c>
      <c r="J5" s="58">
        <v>1.05</v>
      </c>
      <c r="K5" s="59">
        <v>1</v>
      </c>
    </row>
    <row r="6" spans="1:11" ht="15" thickBot="1" x14ac:dyDescent="0.35">
      <c r="B6" s="1" t="s">
        <v>31</v>
      </c>
      <c r="C6" s="10" t="s">
        <v>32</v>
      </c>
      <c r="D6" s="60">
        <v>0.5</v>
      </c>
      <c r="E6" s="60">
        <v>0.4</v>
      </c>
      <c r="F6" s="60">
        <v>0.35</v>
      </c>
      <c r="G6" s="60">
        <v>0.3</v>
      </c>
      <c r="H6" s="60">
        <v>0.25</v>
      </c>
      <c r="I6" s="60">
        <v>0.2</v>
      </c>
      <c r="J6" s="60">
        <v>0.15</v>
      </c>
      <c r="K6" s="61">
        <v>0.1</v>
      </c>
    </row>
    <row r="7" spans="1:11" ht="15" thickBot="1" x14ac:dyDescent="0.35"/>
    <row r="8" spans="1:11" x14ac:dyDescent="0.3">
      <c r="B8" t="s">
        <v>33</v>
      </c>
      <c r="C8" s="7" t="s">
        <v>34</v>
      </c>
      <c r="D8" s="8" t="s">
        <v>35</v>
      </c>
      <c r="E8" s="8" t="s">
        <v>36</v>
      </c>
      <c r="F8" s="8" t="s">
        <v>37</v>
      </c>
      <c r="G8" s="8" t="s">
        <v>38</v>
      </c>
      <c r="H8" s="8" t="s">
        <v>39</v>
      </c>
      <c r="I8" s="9" t="s">
        <v>40</v>
      </c>
    </row>
    <row r="9" spans="1:11" ht="15" thickBot="1" x14ac:dyDescent="0.35">
      <c r="B9" s="1" t="s">
        <v>41</v>
      </c>
      <c r="C9" s="10" t="s">
        <v>42</v>
      </c>
      <c r="D9" s="60">
        <v>4</v>
      </c>
      <c r="E9" s="60">
        <v>3.9</v>
      </c>
      <c r="F9" s="60">
        <v>3.8</v>
      </c>
      <c r="G9" s="60">
        <v>3.7</v>
      </c>
      <c r="H9" s="60">
        <v>3.6</v>
      </c>
      <c r="I9" s="61">
        <v>3.5</v>
      </c>
    </row>
    <row r="12" spans="1:11" ht="15" thickBot="1" x14ac:dyDescent="0.35"/>
    <row r="13" spans="1:11" ht="15" thickBot="1" x14ac:dyDescent="0.35">
      <c r="B13" s="18" t="s">
        <v>43</v>
      </c>
    </row>
    <row r="15" spans="1:11" x14ac:dyDescent="0.3">
      <c r="B15" s="19" t="s">
        <v>44</v>
      </c>
      <c r="C15" s="74"/>
    </row>
    <row r="16" spans="1:11" x14ac:dyDescent="0.3">
      <c r="B16" s="19" t="s">
        <v>45</v>
      </c>
      <c r="C16" s="75"/>
    </row>
    <row r="17" spans="2:4" x14ac:dyDescent="0.3">
      <c r="B17" s="19" t="s">
        <v>166</v>
      </c>
      <c r="C17" s="75"/>
    </row>
    <row r="18" spans="2:4" ht="15" thickBot="1" x14ac:dyDescent="0.35">
      <c r="B18" s="19" t="s">
        <v>46</v>
      </c>
      <c r="C18" s="76"/>
    </row>
    <row r="19" spans="2:4" ht="15" thickBot="1" x14ac:dyDescent="0.35">
      <c r="B19" s="20" t="s">
        <v>47</v>
      </c>
      <c r="C19" s="23">
        <f>IF(C18=0, 0,C15*C16*C17/C18)</f>
        <v>0</v>
      </c>
    </row>
    <row r="20" spans="2:4" ht="15" thickBot="1" x14ac:dyDescent="0.35"/>
    <row r="21" spans="2:4" ht="15" thickBot="1" x14ac:dyDescent="0.35">
      <c r="B21" s="21" t="s">
        <v>48</v>
      </c>
    </row>
    <row r="23" spans="2:4" x14ac:dyDescent="0.3">
      <c r="B23" s="19" t="s">
        <v>49</v>
      </c>
      <c r="C23" s="15" t="s">
        <v>50</v>
      </c>
      <c r="D23" s="15" t="s">
        <v>51</v>
      </c>
    </row>
    <row r="24" spans="2:4" x14ac:dyDescent="0.3">
      <c r="B24" s="19" t="s">
        <v>52</v>
      </c>
      <c r="C24" s="12">
        <v>0</v>
      </c>
      <c r="D24" s="15">
        <v>0</v>
      </c>
    </row>
    <row r="25" spans="2:4" x14ac:dyDescent="0.3">
      <c r="B25" s="19" t="s">
        <v>53</v>
      </c>
      <c r="C25" s="12">
        <v>0.1</v>
      </c>
      <c r="D25" s="15">
        <v>5.0999999999999997E-2</v>
      </c>
    </row>
    <row r="26" spans="2:4" x14ac:dyDescent="0.3">
      <c r="B26" s="19" t="s">
        <v>54</v>
      </c>
      <c r="C26" s="12">
        <v>0.2</v>
      </c>
      <c r="D26" s="15">
        <v>0.151</v>
      </c>
    </row>
    <row r="27" spans="2:4" x14ac:dyDescent="0.3">
      <c r="B27" s="19" t="s">
        <v>55</v>
      </c>
      <c r="C27" s="12">
        <v>0.3</v>
      </c>
      <c r="D27" s="15" t="s">
        <v>56</v>
      </c>
    </row>
    <row r="28" spans="2:4" ht="15" thickBot="1" x14ac:dyDescent="0.35"/>
    <row r="29" spans="2:4" ht="15" thickBot="1" x14ac:dyDescent="0.35">
      <c r="B29" s="22" t="s">
        <v>57</v>
      </c>
      <c r="C29" s="24">
        <f>IF(C19&gt;=0.25,C27,IF(C19&lt;0.25,IF(C19&gt;=0.15,C26,IF(C19&lt;0.15,IF(C19&gt;=0.05,C25,IF(C19&lt;0.05,C24,"GRESKA"))))))</f>
        <v>0</v>
      </c>
    </row>
    <row r="32" spans="2:4" x14ac:dyDescent="0.3">
      <c r="B32" s="12" t="s">
        <v>58</v>
      </c>
      <c r="C32" s="12"/>
      <c r="D32" s="15" t="s">
        <v>59</v>
      </c>
    </row>
    <row r="33" spans="2:4" x14ac:dyDescent="0.3">
      <c r="B33" s="12"/>
      <c r="C33" s="12"/>
      <c r="D33" s="12"/>
    </row>
    <row r="34" spans="2:4" x14ac:dyDescent="0.3">
      <c r="B34" s="12" t="s">
        <v>33</v>
      </c>
      <c r="C34" s="15" t="s">
        <v>60</v>
      </c>
      <c r="D34" s="77"/>
    </row>
    <row r="35" spans="2:4" x14ac:dyDescent="0.3">
      <c r="B35" s="12" t="s">
        <v>20</v>
      </c>
      <c r="C35" s="15" t="s">
        <v>61</v>
      </c>
      <c r="D35" s="62">
        <f>C18/1000</f>
        <v>0</v>
      </c>
    </row>
    <row r="36" spans="2:4" x14ac:dyDescent="0.3">
      <c r="B36" s="12" t="s">
        <v>41</v>
      </c>
      <c r="C36" s="15" t="s">
        <v>42</v>
      </c>
      <c r="D36" s="78"/>
    </row>
    <row r="37" spans="2:4" x14ac:dyDescent="0.3">
      <c r="B37" s="12" t="s">
        <v>62</v>
      </c>
      <c r="C37" s="15" t="s">
        <v>63</v>
      </c>
      <c r="D37" s="63">
        <f>D44+D45</f>
        <v>0</v>
      </c>
    </row>
    <row r="38" spans="2:4" x14ac:dyDescent="0.3">
      <c r="B38" s="12" t="s">
        <v>64</v>
      </c>
      <c r="C38" s="15" t="s">
        <v>65</v>
      </c>
      <c r="D38" s="78"/>
    </row>
    <row r="39" spans="2:4" x14ac:dyDescent="0.3">
      <c r="B39" s="12" t="s">
        <v>66</v>
      </c>
      <c r="C39" s="15" t="s">
        <v>67</v>
      </c>
      <c r="D39" s="77"/>
    </row>
    <row r="40" spans="2:4" x14ac:dyDescent="0.3">
      <c r="B40" s="12" t="s">
        <v>68</v>
      </c>
      <c r="C40" s="15" t="s">
        <v>69</v>
      </c>
      <c r="D40" s="78"/>
    </row>
    <row r="41" spans="2:4" ht="28.8" x14ac:dyDescent="0.3">
      <c r="B41" s="14" t="s">
        <v>70</v>
      </c>
      <c r="C41" s="15" t="s">
        <v>71</v>
      </c>
      <c r="D41" s="78"/>
    </row>
    <row r="42" spans="2:4" ht="34.5" customHeight="1" x14ac:dyDescent="0.3">
      <c r="B42" s="14" t="s">
        <v>72</v>
      </c>
      <c r="C42" s="15" t="s">
        <v>73</v>
      </c>
      <c r="D42" s="77"/>
    </row>
    <row r="43" spans="2:4" ht="31.5" customHeight="1" x14ac:dyDescent="0.3">
      <c r="B43" s="16" t="s">
        <v>74</v>
      </c>
      <c r="C43" s="15" t="s">
        <v>75</v>
      </c>
      <c r="D43" s="64">
        <v>2</v>
      </c>
    </row>
    <row r="44" spans="2:4" ht="18" customHeight="1" x14ac:dyDescent="0.3">
      <c r="B44" s="12" t="s">
        <v>29</v>
      </c>
      <c r="C44" s="15" t="s">
        <v>30</v>
      </c>
      <c r="D44" s="78"/>
    </row>
    <row r="45" spans="2:4" ht="18.75" customHeight="1" x14ac:dyDescent="0.3">
      <c r="B45" s="12" t="s">
        <v>76</v>
      </c>
      <c r="C45" s="15" t="s">
        <v>50</v>
      </c>
      <c r="D45" s="63">
        <f>C29</f>
        <v>0</v>
      </c>
    </row>
    <row r="46" spans="2:4" x14ac:dyDescent="0.3">
      <c r="D46" s="58"/>
    </row>
    <row r="47" spans="2:4" ht="18" customHeight="1" x14ac:dyDescent="0.3">
      <c r="B47" s="13" t="s">
        <v>77</v>
      </c>
      <c r="D47" s="65">
        <f>D34*D36</f>
        <v>0</v>
      </c>
    </row>
    <row r="48" spans="2:4" x14ac:dyDescent="0.3">
      <c r="B48" s="13" t="s">
        <v>78</v>
      </c>
      <c r="D48" s="66">
        <f>D35*D37</f>
        <v>0</v>
      </c>
    </row>
    <row r="49" spans="2:4" x14ac:dyDescent="0.3">
      <c r="B49" s="13" t="s">
        <v>79</v>
      </c>
      <c r="D49" s="66">
        <f>D40*D41</f>
        <v>0</v>
      </c>
    </row>
    <row r="50" spans="2:4" x14ac:dyDescent="0.3">
      <c r="B50" s="13" t="s">
        <v>80</v>
      </c>
      <c r="D50" s="66">
        <f>D38*D39</f>
        <v>0</v>
      </c>
    </row>
    <row r="51" spans="2:4" x14ac:dyDescent="0.3">
      <c r="B51" s="13" t="s">
        <v>81</v>
      </c>
      <c r="D51" s="66">
        <f>D42*D43</f>
        <v>0</v>
      </c>
    </row>
    <row r="52" spans="2:4" x14ac:dyDescent="0.3">
      <c r="B52" s="13" t="s">
        <v>82</v>
      </c>
      <c r="D52" s="67">
        <f>D47+D49+D50+D51</f>
        <v>0</v>
      </c>
    </row>
    <row r="53" spans="2:4" x14ac:dyDescent="0.3">
      <c r="B53" s="13" t="s">
        <v>83</v>
      </c>
      <c r="D53" s="68">
        <f>D48+D49+D50+D51</f>
        <v>0</v>
      </c>
    </row>
    <row r="54" spans="2:4" x14ac:dyDescent="0.3">
      <c r="B54" s="13" t="s">
        <v>84</v>
      </c>
      <c r="D54" s="79"/>
    </row>
    <row r="55" spans="2:4" x14ac:dyDescent="0.3">
      <c r="D55" s="69"/>
    </row>
    <row r="56" spans="2:4" x14ac:dyDescent="0.3">
      <c r="B56" s="13" t="s">
        <v>85</v>
      </c>
      <c r="D56" s="70">
        <f>IF(D34=0, 0,D54/D34)</f>
        <v>0</v>
      </c>
    </row>
    <row r="57" spans="2:4" x14ac:dyDescent="0.3">
      <c r="B57" s="13" t="s">
        <v>86</v>
      </c>
      <c r="D57" s="70">
        <f>IF(D35=0, 0,D54/D35)</f>
        <v>0</v>
      </c>
    </row>
    <row r="58" spans="2:4" x14ac:dyDescent="0.3">
      <c r="D58" s="13"/>
    </row>
    <row r="59" spans="2:4" x14ac:dyDescent="0.3">
      <c r="B59" s="13" t="s">
        <v>88</v>
      </c>
      <c r="D59" s="71">
        <f>IF(D34=0, 0,D52/D34)</f>
        <v>0</v>
      </c>
    </row>
    <row r="60" spans="2:4" x14ac:dyDescent="0.3">
      <c r="B60" s="13" t="s">
        <v>89</v>
      </c>
      <c r="D60" s="71">
        <f>IF(D35=0, 0,D53/D35)</f>
        <v>0</v>
      </c>
    </row>
    <row r="61" spans="2:4" x14ac:dyDescent="0.3">
      <c r="D61" s="13"/>
    </row>
    <row r="62" spans="2:4" x14ac:dyDescent="0.3">
      <c r="B62" s="13" t="s">
        <v>90</v>
      </c>
      <c r="D62" s="72">
        <f>IF(D59=0, 0,(D56/D59)-1)</f>
        <v>0</v>
      </c>
    </row>
    <row r="63" spans="2:4" x14ac:dyDescent="0.3">
      <c r="B63" s="13" t="s">
        <v>91</v>
      </c>
      <c r="D63" s="72">
        <f>IF(D60=0, 0,(D57/D60)-1)</f>
        <v>0</v>
      </c>
    </row>
  </sheetData>
  <sheetProtection algorithmName="SHA-512" hashValue="/MsKksIwkqsm0IKZ+wg8wVzfUzoZNL3yGuiu24OAV7vP23wCrmg2tLeuAxS0ljAi7ENL9Ym3dQ6IciBy+jcRww==" saltValue="PcR3sC85681h8oElpFuPwg==" spinCount="100000" sheet="1" objects="1" scenarios="1"/>
  <mergeCells count="2">
    <mergeCell ref="A1:I1"/>
    <mergeCell ref="A2:I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87A9C-4BEE-45C1-B337-9BBCFB81CA0F}">
  <dimension ref="A1:J11"/>
  <sheetViews>
    <sheetView zoomScaleNormal="100" workbookViewId="0">
      <selection activeCell="J9" sqref="J9"/>
    </sheetView>
  </sheetViews>
  <sheetFormatPr defaultColWidth="8.6640625" defaultRowHeight="14.4" x14ac:dyDescent="0.3"/>
  <cols>
    <col min="1" max="1" width="3.6640625" customWidth="1"/>
    <col min="9" max="9" width="12.6640625" customWidth="1"/>
  </cols>
  <sheetData>
    <row r="1" spans="1:10" ht="21" x14ac:dyDescent="0.4">
      <c r="A1" s="86" t="s">
        <v>93</v>
      </c>
      <c r="B1" s="86"/>
      <c r="C1" s="86"/>
      <c r="D1" s="86"/>
      <c r="E1" s="86"/>
      <c r="F1" s="86"/>
      <c r="G1" s="86"/>
      <c r="H1" s="86"/>
      <c r="I1" s="86"/>
    </row>
    <row r="2" spans="1:10" ht="15.6" x14ac:dyDescent="0.3">
      <c r="A2" s="87" t="s">
        <v>94</v>
      </c>
      <c r="B2" s="87"/>
      <c r="C2" s="87"/>
      <c r="D2" s="87"/>
      <c r="E2" s="87"/>
      <c r="F2" s="87"/>
      <c r="G2" s="87"/>
      <c r="H2" s="87"/>
      <c r="I2" s="87"/>
    </row>
    <row r="4" spans="1:10" ht="15.6" x14ac:dyDescent="0.3">
      <c r="B4" s="5" t="s">
        <v>4</v>
      </c>
    </row>
    <row r="6" spans="1:10" x14ac:dyDescent="0.3">
      <c r="A6" s="1" t="s">
        <v>2</v>
      </c>
      <c r="B6" t="s">
        <v>148</v>
      </c>
      <c r="J6" s="73">
        <v>110000</v>
      </c>
    </row>
    <row r="7" spans="1:10" x14ac:dyDescent="0.3">
      <c r="A7" s="1"/>
      <c r="B7" t="s">
        <v>149</v>
      </c>
      <c r="J7" s="50"/>
    </row>
    <row r="8" spans="1:10" x14ac:dyDescent="0.3">
      <c r="A8" s="1" t="s">
        <v>3</v>
      </c>
      <c r="B8" t="s">
        <v>96</v>
      </c>
      <c r="J8" s="73">
        <v>0</v>
      </c>
    </row>
    <row r="9" spans="1:10" x14ac:dyDescent="0.3">
      <c r="B9" t="s">
        <v>150</v>
      </c>
    </row>
    <row r="11" spans="1:10" s="3" customFormat="1" x14ac:dyDescent="0.3">
      <c r="B11" s="3" t="s">
        <v>95</v>
      </c>
      <c r="J11" s="55">
        <f>IF(J6=0,0,J8/J6)</f>
        <v>0</v>
      </c>
    </row>
  </sheetData>
  <sheetProtection algorithmName="SHA-512" hashValue="k3Yrxuf35h/FvfTRhqLP5eYT3bnVcAOw8suAxLadXY088NpghGa6SWGGYBmUHWR17sBlP6IUJojcpiPB6kSOKw==" saltValue="GUmULyRPBQNDLbHcQIyIhg==" spinCount="100000" sheet="1" objects="1" scenarios="1"/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7B0E9-985B-4358-A44F-0E53DB870556}">
  <dimension ref="A1:J47"/>
  <sheetViews>
    <sheetView zoomScaleNormal="100" workbookViewId="0">
      <selection activeCell="N43" sqref="N43"/>
    </sheetView>
  </sheetViews>
  <sheetFormatPr defaultColWidth="8.6640625" defaultRowHeight="14.4" x14ac:dyDescent="0.3"/>
  <cols>
    <col min="1" max="1" width="11.109375" customWidth="1"/>
    <col min="6" max="6" width="9.109375" customWidth="1"/>
    <col min="8" max="8" width="13.44140625" customWidth="1"/>
    <col min="9" max="9" width="9.6640625" customWidth="1"/>
  </cols>
  <sheetData>
    <row r="1" spans="1:9" ht="21" x14ac:dyDescent="0.4">
      <c r="A1" s="86" t="s">
        <v>98</v>
      </c>
      <c r="B1" s="86"/>
      <c r="C1" s="86"/>
      <c r="D1" s="86"/>
      <c r="E1" s="86"/>
      <c r="F1" s="86"/>
      <c r="G1" s="86"/>
      <c r="H1" s="86"/>
      <c r="I1" s="86"/>
    </row>
    <row r="2" spans="1:9" ht="15.6" x14ac:dyDescent="0.3">
      <c r="A2" s="87" t="s">
        <v>99</v>
      </c>
      <c r="B2" s="87"/>
      <c r="C2" s="87"/>
      <c r="D2" s="87"/>
      <c r="E2" s="87"/>
      <c r="F2" s="87"/>
      <c r="G2" s="87"/>
      <c r="H2" s="87"/>
      <c r="I2" s="87"/>
    </row>
    <row r="4" spans="1:9" ht="15.6" x14ac:dyDescent="0.3">
      <c r="B4" s="5" t="s">
        <v>8</v>
      </c>
    </row>
    <row r="6" spans="1:9" x14ac:dyDescent="0.3">
      <c r="B6" t="s">
        <v>97</v>
      </c>
      <c r="I6" s="73"/>
    </row>
    <row r="7" spans="1:9" x14ac:dyDescent="0.3">
      <c r="B7" t="s">
        <v>101</v>
      </c>
      <c r="I7" s="73"/>
    </row>
    <row r="9" spans="1:9" s="3" customFormat="1" x14ac:dyDescent="0.3">
      <c r="B9" s="3" t="s">
        <v>100</v>
      </c>
      <c r="I9" s="55">
        <f>IF(I7=0, 0,I6/I7)</f>
        <v>0</v>
      </c>
    </row>
    <row r="14" spans="1:9" ht="21" x14ac:dyDescent="0.4">
      <c r="A14" s="86" t="s">
        <v>130</v>
      </c>
      <c r="B14" s="86"/>
      <c r="C14" s="86"/>
      <c r="D14" s="86"/>
      <c r="E14" s="86"/>
      <c r="F14" s="86"/>
      <c r="G14" s="86"/>
      <c r="H14" s="86"/>
      <c r="I14" s="86"/>
    </row>
    <row r="16" spans="1:9" x14ac:dyDescent="0.3">
      <c r="A16" s="3" t="s">
        <v>117</v>
      </c>
      <c r="D16" s="26"/>
      <c r="E16" s="26"/>
      <c r="F16" s="26"/>
      <c r="G16" s="26"/>
      <c r="H16" s="26"/>
      <c r="I16" s="2"/>
    </row>
    <row r="17" spans="1:10" x14ac:dyDescent="0.3">
      <c r="A17" s="3"/>
      <c r="D17" s="26"/>
      <c r="E17" s="26"/>
      <c r="F17" s="26"/>
      <c r="G17" s="26"/>
      <c r="H17" s="26"/>
      <c r="I17" s="2"/>
    </row>
    <row r="18" spans="1:10" x14ac:dyDescent="0.3">
      <c r="F18" s="26"/>
      <c r="G18" s="49" t="s">
        <v>127</v>
      </c>
      <c r="H18" s="49" t="s">
        <v>129</v>
      </c>
      <c r="I18" s="26" t="s">
        <v>128</v>
      </c>
    </row>
    <row r="19" spans="1:10" x14ac:dyDescent="0.3">
      <c r="B19" s="39" t="s">
        <v>126</v>
      </c>
      <c r="C19" s="36" t="s">
        <v>102</v>
      </c>
      <c r="F19" s="29"/>
      <c r="G19" s="80"/>
      <c r="H19" s="80"/>
      <c r="I19" s="37">
        <f>G19*H19</f>
        <v>0</v>
      </c>
    </row>
    <row r="20" spans="1:10" x14ac:dyDescent="0.3">
      <c r="B20" s="27"/>
      <c r="C20" s="36" t="s">
        <v>103</v>
      </c>
      <c r="F20" s="29"/>
      <c r="G20" s="80"/>
      <c r="H20" s="80"/>
      <c r="I20" s="37">
        <f>G20*H20</f>
        <v>0</v>
      </c>
    </row>
    <row r="21" spans="1:10" x14ac:dyDescent="0.3">
      <c r="B21" s="27"/>
      <c r="C21" s="36" t="s">
        <v>118</v>
      </c>
      <c r="F21" s="81"/>
      <c r="G21" s="30"/>
      <c r="H21" s="30"/>
      <c r="I21" s="37">
        <f>(I19+I20)*F21</f>
        <v>0</v>
      </c>
    </row>
    <row r="22" spans="1:10" x14ac:dyDescent="0.3">
      <c r="B22" s="27"/>
      <c r="C22" s="28" t="s">
        <v>104</v>
      </c>
      <c r="D22" s="29"/>
      <c r="E22" s="30"/>
      <c r="F22" s="30"/>
      <c r="G22" s="30"/>
      <c r="I22" s="37">
        <f>SUM(I19:I21)</f>
        <v>0</v>
      </c>
    </row>
    <row r="23" spans="1:10" x14ac:dyDescent="0.3">
      <c r="B23" s="27"/>
      <c r="C23" s="28"/>
      <c r="D23" s="29"/>
      <c r="E23" s="30"/>
      <c r="F23" s="30"/>
      <c r="G23" s="30"/>
      <c r="I23" s="37"/>
    </row>
    <row r="24" spans="1:10" x14ac:dyDescent="0.3">
      <c r="B24" s="27"/>
      <c r="C24" s="28"/>
      <c r="D24" s="29"/>
      <c r="E24" s="30"/>
      <c r="F24" s="30"/>
      <c r="G24" s="30"/>
      <c r="I24" s="30"/>
    </row>
    <row r="25" spans="1:10" x14ac:dyDescent="0.3">
      <c r="B25" s="27"/>
      <c r="C25" s="28" t="s">
        <v>105</v>
      </c>
      <c r="D25" s="29"/>
      <c r="E25" s="30"/>
      <c r="F25" s="30"/>
      <c r="G25" s="30"/>
      <c r="I25" s="80"/>
    </row>
    <row r="26" spans="1:10" x14ac:dyDescent="0.3">
      <c r="B26" s="27"/>
      <c r="C26" s="28" t="s">
        <v>106</v>
      </c>
      <c r="D26" s="29"/>
      <c r="E26" s="30"/>
      <c r="F26" s="30"/>
      <c r="G26" s="30"/>
      <c r="I26" s="80"/>
    </row>
    <row r="27" spans="1:10" x14ac:dyDescent="0.3">
      <c r="B27" s="27"/>
      <c r="C27" s="28" t="s">
        <v>107</v>
      </c>
      <c r="D27" s="29"/>
      <c r="E27" s="30"/>
      <c r="F27" s="30"/>
      <c r="G27" s="30"/>
      <c r="I27" s="38">
        <f>IF(I26=0, 0,I25/I26)</f>
        <v>0</v>
      </c>
    </row>
    <row r="28" spans="1:10" x14ac:dyDescent="0.3">
      <c r="B28" s="27"/>
      <c r="C28" s="28" t="s">
        <v>108</v>
      </c>
      <c r="D28" s="29"/>
      <c r="E28" s="30"/>
      <c r="F28" s="30"/>
      <c r="G28" s="30"/>
      <c r="I28" s="37">
        <f>IF(I26=0, 0,I22/I26)</f>
        <v>0</v>
      </c>
    </row>
    <row r="29" spans="1:10" x14ac:dyDescent="0.3">
      <c r="J29" s="31"/>
    </row>
    <row r="30" spans="1:10" x14ac:dyDescent="0.3">
      <c r="B30" s="27"/>
      <c r="C30" s="28"/>
      <c r="D30" s="32"/>
      <c r="E30" s="29"/>
      <c r="F30" s="29"/>
      <c r="G30" s="29"/>
      <c r="H30" s="29"/>
      <c r="I30" s="2"/>
    </row>
    <row r="31" spans="1:10" x14ac:dyDescent="0.3">
      <c r="B31" s="27"/>
      <c r="C31" s="27" t="s">
        <v>124</v>
      </c>
      <c r="F31" s="29"/>
      <c r="G31" s="29"/>
      <c r="I31" s="80"/>
    </row>
    <row r="32" spans="1:10" x14ac:dyDescent="0.3">
      <c r="B32" s="27"/>
      <c r="C32" s="27" t="s">
        <v>109</v>
      </c>
      <c r="F32" s="29"/>
      <c r="G32" s="29"/>
      <c r="I32" s="80"/>
    </row>
    <row r="33" spans="2:9" x14ac:dyDescent="0.3">
      <c r="B33" s="27"/>
      <c r="C33" s="27" t="s">
        <v>125</v>
      </c>
      <c r="D33" s="30"/>
      <c r="E33" s="29"/>
      <c r="F33" s="29"/>
      <c r="G33" s="29"/>
      <c r="H33" s="29"/>
      <c r="I33" s="47">
        <f>IF(I32=0, 0,I31/I32/12)</f>
        <v>0</v>
      </c>
    </row>
    <row r="34" spans="2:9" x14ac:dyDescent="0.3">
      <c r="B34" s="27"/>
      <c r="C34" s="48" t="s">
        <v>119</v>
      </c>
      <c r="E34" s="29"/>
      <c r="F34" s="29"/>
      <c r="G34" s="29"/>
      <c r="I34" s="82"/>
    </row>
    <row r="35" spans="2:9" x14ac:dyDescent="0.3">
      <c r="B35" s="27"/>
      <c r="C35" s="33"/>
      <c r="D35" s="30"/>
      <c r="E35" s="29"/>
      <c r="F35" s="29"/>
      <c r="G35" s="29"/>
      <c r="H35" s="29"/>
      <c r="I35" s="2"/>
    </row>
    <row r="36" spans="2:9" x14ac:dyDescent="0.3">
      <c r="B36" s="27"/>
      <c r="C36" s="27"/>
      <c r="D36" s="29"/>
      <c r="E36" s="28"/>
      <c r="F36" s="29"/>
      <c r="G36" s="29"/>
      <c r="H36" s="28"/>
      <c r="I36" s="34" t="s">
        <v>110</v>
      </c>
    </row>
    <row r="37" spans="2:9" x14ac:dyDescent="0.3">
      <c r="B37" s="27"/>
      <c r="C37" s="27" t="s">
        <v>111</v>
      </c>
      <c r="D37" s="29"/>
      <c r="F37" s="29"/>
      <c r="G37" s="29"/>
      <c r="H37" s="28"/>
      <c r="I37" s="82"/>
    </row>
    <row r="38" spans="2:9" x14ac:dyDescent="0.3">
      <c r="B38" s="27"/>
      <c r="C38" s="27" t="s">
        <v>112</v>
      </c>
      <c r="D38" s="29"/>
      <c r="F38" s="29"/>
      <c r="G38" s="29"/>
      <c r="H38" s="28"/>
      <c r="I38" s="82"/>
    </row>
    <row r="39" spans="2:9" x14ac:dyDescent="0.3">
      <c r="B39" s="27"/>
      <c r="C39" s="27" t="s">
        <v>113</v>
      </c>
      <c r="D39" s="29"/>
      <c r="F39" s="29"/>
      <c r="G39" s="29"/>
      <c r="H39" s="28"/>
      <c r="I39" s="38">
        <v>0.01</v>
      </c>
    </row>
    <row r="40" spans="2:9" x14ac:dyDescent="0.3">
      <c r="B40" s="27"/>
      <c r="C40" s="27" t="s">
        <v>114</v>
      </c>
      <c r="D40" s="29"/>
      <c r="F40" s="29"/>
      <c r="G40" s="29"/>
      <c r="H40" s="28"/>
      <c r="I40" s="38">
        <v>0.04</v>
      </c>
    </row>
    <row r="41" spans="2:9" x14ac:dyDescent="0.3">
      <c r="B41" s="27"/>
      <c r="C41" s="27" t="s">
        <v>115</v>
      </c>
      <c r="D41" s="29"/>
      <c r="F41" s="29"/>
      <c r="G41" s="29"/>
      <c r="H41" s="28"/>
      <c r="I41" s="38">
        <f>SUM(I37:I40)*17%</f>
        <v>8.5000000000000006E-3</v>
      </c>
    </row>
    <row r="42" spans="2:9" x14ac:dyDescent="0.3">
      <c r="B42" s="27"/>
      <c r="C42" s="27" t="s">
        <v>120</v>
      </c>
      <c r="D42" s="29"/>
      <c r="F42" s="29"/>
      <c r="G42" s="29"/>
      <c r="H42" s="28"/>
      <c r="I42" s="38">
        <f>SUM(I37:I41)</f>
        <v>5.8500000000000003E-2</v>
      </c>
    </row>
    <row r="43" spans="2:9" x14ac:dyDescent="0.3">
      <c r="B43" s="27"/>
      <c r="C43" s="28"/>
      <c r="D43" s="29"/>
      <c r="E43" s="29"/>
      <c r="F43" s="29"/>
      <c r="G43" s="29"/>
      <c r="H43" s="26"/>
      <c r="I43" s="2"/>
    </row>
    <row r="44" spans="2:9" x14ac:dyDescent="0.3">
      <c r="C44" s="27" t="s">
        <v>116</v>
      </c>
      <c r="D44" s="26"/>
      <c r="E44" s="26"/>
      <c r="F44" s="26"/>
      <c r="G44" s="26"/>
      <c r="H44" s="35"/>
      <c r="I44" s="25">
        <f>(I33*I42)+I34</f>
        <v>0</v>
      </c>
    </row>
    <row r="46" spans="2:9" x14ac:dyDescent="0.3">
      <c r="B46" s="40" t="s">
        <v>121</v>
      </c>
      <c r="C46" s="41" t="s">
        <v>122</v>
      </c>
      <c r="D46" s="42"/>
      <c r="E46" s="42"/>
      <c r="F46" s="42"/>
      <c r="H46" s="44">
        <v>0.04</v>
      </c>
      <c r="I46" s="45">
        <f>I28*H46</f>
        <v>0</v>
      </c>
    </row>
    <row r="47" spans="2:9" x14ac:dyDescent="0.3">
      <c r="B47" s="33"/>
      <c r="C47" s="41" t="s">
        <v>123</v>
      </c>
      <c r="D47" s="42"/>
      <c r="E47" s="42"/>
      <c r="F47" s="43"/>
      <c r="H47" s="46">
        <f>IF(I28=0, 0,I47/I28)</f>
        <v>0</v>
      </c>
      <c r="I47" s="45">
        <f>I44</f>
        <v>0</v>
      </c>
    </row>
  </sheetData>
  <sheetProtection algorithmName="SHA-512" hashValue="v8SxvcgDEPo0RSBVQv2WdsPigjbe08zsLtryt48ct5ShJzkrF0RywSovtfOI6lVE7Q/b4Xc3vZl4nVidKp8DwA==" saltValue="TwsWAmPR3JdTL/Tmj2Jy5g==" spinCount="100000" sheet="1" objects="1" scenarios="1"/>
  <mergeCells count="3">
    <mergeCell ref="A1:I1"/>
    <mergeCell ref="A2:I2"/>
    <mergeCell ref="A14:I1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03F1C-0DE8-4777-B355-A5BE9AB5D44B}">
  <dimension ref="A1:J17"/>
  <sheetViews>
    <sheetView zoomScaleNormal="100" workbookViewId="0">
      <selection activeCell="P12" sqref="P12"/>
    </sheetView>
  </sheetViews>
  <sheetFormatPr defaultColWidth="8.6640625" defaultRowHeight="14.4" x14ac:dyDescent="0.3"/>
  <cols>
    <col min="1" max="1" width="5.44140625" customWidth="1"/>
    <col min="9" max="9" width="14.6640625" customWidth="1"/>
    <col min="10" max="10" width="12.44140625" style="50" customWidth="1"/>
  </cols>
  <sheetData>
    <row r="1" spans="1:10" ht="21" x14ac:dyDescent="0.4">
      <c r="A1" s="86" t="s">
        <v>147</v>
      </c>
      <c r="B1" s="86"/>
      <c r="C1" s="86"/>
      <c r="D1" s="86"/>
      <c r="E1" s="86"/>
      <c r="F1" s="86"/>
      <c r="G1" s="86"/>
      <c r="H1" s="86"/>
      <c r="I1" s="86"/>
      <c r="J1" s="86"/>
    </row>
    <row r="3" spans="1:10" x14ac:dyDescent="0.3">
      <c r="A3" s="1" t="s">
        <v>135</v>
      </c>
      <c r="B3" t="s">
        <v>136</v>
      </c>
      <c r="J3" s="51">
        <f>(18*J7+0.8*J8+25*J9)*J10</f>
        <v>0</v>
      </c>
    </row>
    <row r="4" spans="1:10" x14ac:dyDescent="0.3">
      <c r="A4" s="1"/>
    </row>
    <row r="5" spans="1:10" x14ac:dyDescent="0.3">
      <c r="A5" s="1"/>
      <c r="B5" t="s">
        <v>133</v>
      </c>
    </row>
    <row r="6" spans="1:10" x14ac:dyDescent="0.3">
      <c r="A6" s="1"/>
      <c r="B6" t="s">
        <v>132</v>
      </c>
    </row>
    <row r="7" spans="1:10" x14ac:dyDescent="0.3">
      <c r="A7" s="1" t="s">
        <v>137</v>
      </c>
      <c r="B7" t="s">
        <v>142</v>
      </c>
      <c r="J7" s="73"/>
    </row>
    <row r="8" spans="1:10" x14ac:dyDescent="0.3">
      <c r="A8" s="1" t="s">
        <v>138</v>
      </c>
      <c r="B8" t="s">
        <v>143</v>
      </c>
      <c r="J8" s="73"/>
    </row>
    <row r="9" spans="1:10" x14ac:dyDescent="0.3">
      <c r="A9" s="1" t="s">
        <v>139</v>
      </c>
      <c r="B9" t="s">
        <v>144</v>
      </c>
      <c r="J9" s="73"/>
    </row>
    <row r="10" spans="1:10" x14ac:dyDescent="0.3">
      <c r="A10" s="1" t="s">
        <v>140</v>
      </c>
      <c r="B10" t="s">
        <v>145</v>
      </c>
      <c r="J10" s="73"/>
    </row>
    <row r="11" spans="1:10" x14ac:dyDescent="0.3">
      <c r="A11" s="1"/>
    </row>
    <row r="12" spans="1:10" x14ac:dyDescent="0.3">
      <c r="A12" s="1" t="s">
        <v>141</v>
      </c>
      <c r="B12" t="s">
        <v>146</v>
      </c>
      <c r="J12" s="51">
        <f>IF(J8=0, 0,J14/(J8/1000)/365)</f>
        <v>0</v>
      </c>
    </row>
    <row r="13" spans="1:10" x14ac:dyDescent="0.3">
      <c r="A13" s="1"/>
      <c r="B13" s="89" t="s">
        <v>134</v>
      </c>
      <c r="C13" s="89"/>
      <c r="D13" s="89"/>
      <c r="E13" s="89"/>
      <c r="F13" s="89"/>
      <c r="G13" s="89"/>
      <c r="H13" s="89"/>
      <c r="I13" s="89"/>
    </row>
    <row r="14" spans="1:10" x14ac:dyDescent="0.3">
      <c r="A14" s="1"/>
      <c r="B14" s="57" t="s">
        <v>165</v>
      </c>
      <c r="C14" s="57"/>
      <c r="D14" s="57"/>
      <c r="E14" s="57"/>
      <c r="F14" s="57"/>
      <c r="G14" s="57"/>
      <c r="H14" s="57"/>
      <c r="J14" s="73"/>
    </row>
    <row r="15" spans="1:10" x14ac:dyDescent="0.3">
      <c r="A15" s="1"/>
    </row>
    <row r="17" spans="2:10" s="3" customFormat="1" x14ac:dyDescent="0.3">
      <c r="B17" s="3" t="s">
        <v>131</v>
      </c>
      <c r="J17" s="56">
        <f>IF(J13=0, 0,J12/J3)</f>
        <v>0</v>
      </c>
    </row>
  </sheetData>
  <sheetProtection algorithmName="SHA-512" hashValue="kaAMisjRAn7p2m+HA51fwTWdV0f+xGAi30DW32FZLXn6vBccHv/pkDRuxW7iMdKCGjHzQNYBTZo6nnmRaFNicg==" saltValue="Nokj8pYQuSQ5U3gqkwkVvw==" spinCount="100000" sheet="1" objects="1" scenarios="1"/>
  <mergeCells count="2">
    <mergeCell ref="A1:J1"/>
    <mergeCell ref="B13:I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INDIKATORI</vt:lpstr>
      <vt:lpstr>KPI.1.Neoprihodovana.voda</vt:lpstr>
      <vt:lpstr>KPI.2.Postotak.mjerenja</vt:lpstr>
      <vt:lpstr>KPI.3.Dani.naplate</vt:lpstr>
      <vt:lpstr>KPI.4.Postotak.naplate</vt:lpstr>
      <vt:lpstr>KPI.5.Produktivnost.operatera</vt:lpstr>
      <vt:lpstr>KPI.6.Pokrivenost.troskova</vt:lpstr>
      <vt:lpstr>KPI.7.Priustivost.usluga</vt:lpstr>
      <vt:lpstr>ILI index</vt:lpstr>
      <vt:lpstr>Amortizacija</vt:lpstr>
      <vt:lpstr>Cijene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Fuad Mesic</dc:creator>
  <cp:lastModifiedBy>Fuad Mesic</cp:lastModifiedBy>
  <cp:lastPrinted>2023-03-17T18:43:08Z</cp:lastPrinted>
  <dcterms:created xsi:type="dcterms:W3CDTF">2023-03-16T15:36:50Z</dcterms:created>
  <dcterms:modified xsi:type="dcterms:W3CDTF">2023-10-15T15:39:42Z</dcterms:modified>
</cp:coreProperties>
</file>